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hidePivotFieldList="1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aggica FM\Documents\CARITA\"/>
    </mc:Choice>
  </mc:AlternateContent>
  <xr:revisionPtr revIDLastSave="0" documentId="8_{28CB4C86-02AA-4306-8169-1AEAFE1F72DC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Balances General 2021" sheetId="32" r:id="rId1"/>
    <sheet name="Balance Resultados 2021" sheetId="33" r:id="rId2"/>
    <sheet name="ACTIVO FIJO" sheetId="3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33" l="1"/>
  <c r="I12" i="32"/>
  <c r="X9" i="34" l="1"/>
  <c r="Y9" i="34" s="1"/>
  <c r="E6" i="34"/>
  <c r="U9" i="34"/>
  <c r="V9" i="34" s="1"/>
  <c r="E12" i="34"/>
  <c r="Z9" i="34" l="1"/>
  <c r="X14" i="34"/>
  <c r="Y14" i="34" s="1"/>
  <c r="Z14" i="34" l="1"/>
  <c r="G16" i="34"/>
  <c r="G15" i="34"/>
  <c r="G11" i="34"/>
  <c r="G12" i="34"/>
  <c r="G8" i="34"/>
  <c r="V14" i="34" l="1"/>
  <c r="I12" i="34" l="1"/>
  <c r="F8" i="33"/>
  <c r="U12" i="34" l="1"/>
  <c r="X12" i="34"/>
  <c r="Y12" i="34" s="1"/>
  <c r="J15" i="32"/>
  <c r="I16" i="34"/>
  <c r="I11" i="34"/>
  <c r="I10" i="34"/>
  <c r="I8" i="34"/>
  <c r="I15" i="34"/>
  <c r="U15" i="34" l="1"/>
  <c r="X15" i="34"/>
  <c r="Y15" i="34" s="1"/>
  <c r="X8" i="34"/>
  <c r="Y8" i="34" s="1"/>
  <c r="V12" i="34"/>
  <c r="Z12" i="34"/>
  <c r="L11" i="34"/>
  <c r="K11" i="34" s="1"/>
  <c r="U11" i="34" s="1"/>
  <c r="L8" i="34"/>
  <c r="K8" i="34" s="1"/>
  <c r="U8" i="34" s="1"/>
  <c r="V8" i="34" l="1"/>
  <c r="Z8" i="34"/>
  <c r="X11" i="34"/>
  <c r="Y11" i="34" s="1"/>
  <c r="Z11" i="34" s="1"/>
  <c r="V11" i="34"/>
  <c r="V15" i="34"/>
  <c r="Z15" i="34"/>
  <c r="K16" i="34"/>
  <c r="K10" i="34"/>
  <c r="K7" i="34"/>
  <c r="K6" i="34"/>
  <c r="K5" i="34"/>
  <c r="I5" i="34" s="1"/>
  <c r="I17" i="34" l="1"/>
  <c r="G5" i="34"/>
  <c r="K17" i="34"/>
  <c r="N10" i="34"/>
  <c r="M10" i="34" s="1"/>
  <c r="U10" i="34" s="1"/>
  <c r="E5" i="34" l="1"/>
  <c r="G17" i="34"/>
  <c r="G20" i="34" s="1"/>
  <c r="X10" i="34"/>
  <c r="Y10" i="34" s="1"/>
  <c r="Z10" i="34" s="1"/>
  <c r="V10" i="34"/>
  <c r="M16" i="34"/>
  <c r="M7" i="34"/>
  <c r="M6" i="34"/>
  <c r="M5" i="34"/>
  <c r="M17" i="34" l="1"/>
  <c r="E17" i="34"/>
  <c r="O16" i="34"/>
  <c r="E31" i="33" l="1"/>
  <c r="H13" i="33" s="1"/>
  <c r="E20" i="34"/>
  <c r="D22" i="32" s="1"/>
  <c r="O7" i="34"/>
  <c r="E22" i="34" l="1"/>
  <c r="U7" i="34"/>
  <c r="X7" i="34"/>
  <c r="Y7" i="34" s="1"/>
  <c r="O6" i="34"/>
  <c r="O5" i="34"/>
  <c r="O13" i="34"/>
  <c r="V7" i="34" l="1"/>
  <c r="Z7" i="34"/>
  <c r="O17" i="34"/>
  <c r="P6" i="34" l="1"/>
  <c r="P16" i="34"/>
  <c r="P13" i="34"/>
  <c r="P5" i="34"/>
  <c r="X6" i="34" l="1"/>
  <c r="Y6" i="34" s="1"/>
  <c r="U6" i="34"/>
  <c r="P17" i="34"/>
  <c r="P20" i="34" s="1"/>
  <c r="O20" i="34" s="1"/>
  <c r="M19" i="34" s="1"/>
  <c r="M20" i="34" s="1"/>
  <c r="K19" i="34" s="1"/>
  <c r="I19" i="34" s="1"/>
  <c r="V6" i="34" l="1"/>
  <c r="Z6" i="34"/>
  <c r="I20" i="34"/>
  <c r="G19" i="34"/>
  <c r="C17" i="34"/>
  <c r="C18" i="34" s="1"/>
  <c r="Q16" i="34"/>
  <c r="Q13" i="34"/>
  <c r="Q5" i="34"/>
  <c r="G22" i="34" l="1"/>
  <c r="E19" i="34"/>
  <c r="X5" i="34"/>
  <c r="Y5" i="34" s="1"/>
  <c r="U5" i="34"/>
  <c r="V5" i="34" s="1"/>
  <c r="X16" i="34"/>
  <c r="Y16" i="34" s="1"/>
  <c r="U16" i="34"/>
  <c r="O22" i="34"/>
  <c r="I22" i="34"/>
  <c r="Q17" i="34"/>
  <c r="M21" i="34"/>
  <c r="T13" i="34"/>
  <c r="T3" i="34"/>
  <c r="S13" i="34"/>
  <c r="S17" i="34" s="1"/>
  <c r="R13" i="34"/>
  <c r="U13" i="34" s="1"/>
  <c r="R5" i="34"/>
  <c r="H37" i="33"/>
  <c r="H7" i="33"/>
  <c r="AA18" i="32"/>
  <c r="AB18" i="32" s="1"/>
  <c r="AC18" i="32" s="1"/>
  <c r="AD18" i="32" s="1"/>
  <c r="AA17" i="32"/>
  <c r="AB17" i="32" s="1"/>
  <c r="AC17" i="32" s="1"/>
  <c r="AD17" i="32" s="1"/>
  <c r="Z16" i="32"/>
  <c r="D18" i="32"/>
  <c r="E16" i="32"/>
  <c r="E8" i="32"/>
  <c r="V13" i="34" l="1"/>
  <c r="Z5" i="34"/>
  <c r="X13" i="34"/>
  <c r="Y13" i="34" s="1"/>
  <c r="Z13" i="34" s="1"/>
  <c r="V16" i="34"/>
  <c r="Z16" i="34"/>
  <c r="S18" i="34"/>
  <c r="E23" i="34"/>
  <c r="E24" i="34" s="1"/>
  <c r="H51" i="33"/>
  <c r="J8" i="32" s="1"/>
  <c r="J18" i="32" s="1"/>
  <c r="T17" i="34"/>
  <c r="E28" i="32"/>
  <c r="R17" i="34"/>
  <c r="R18" i="34" s="1"/>
  <c r="AA16" i="32"/>
  <c r="AB16" i="32" s="1"/>
  <c r="AC16" i="32" s="1"/>
  <c r="AD16" i="32" s="1"/>
  <c r="U17" i="34" l="1"/>
  <c r="M22" i="34" s="1"/>
  <c r="H53" i="33"/>
  <c r="I24" i="32" s="1"/>
  <c r="O23" i="34" l="1"/>
  <c r="V17" i="34"/>
  <c r="G23" i="34"/>
  <c r="G24" i="34" s="1"/>
  <c r="J21" i="32"/>
  <c r="J26" i="32" l="1"/>
  <c r="J28" i="3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M1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COMPRA EN NOV ACTIVADO PARA DEP DESDE DIC
</t>
        </r>
      </text>
    </comment>
    <comment ref="M1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COMPRA EN AGO ACTIVADO PARA DEP DESDE SEP
</t>
        </r>
      </text>
    </comment>
  </commentList>
</comments>
</file>

<file path=xl/sharedStrings.xml><?xml version="1.0" encoding="utf-8"?>
<sst xmlns="http://schemas.openxmlformats.org/spreadsheetml/2006/main" count="125" uniqueCount="110">
  <si>
    <t xml:space="preserve">ACTIVO </t>
  </si>
  <si>
    <t xml:space="preserve">PASIVO </t>
  </si>
  <si>
    <t xml:space="preserve">CORRIENTE </t>
  </si>
  <si>
    <t>CORRIENTE</t>
  </si>
  <si>
    <t xml:space="preserve">Bancos </t>
  </si>
  <si>
    <t xml:space="preserve">TOTAL DEL PASIVO </t>
  </si>
  <si>
    <t xml:space="preserve">FIJO </t>
  </si>
  <si>
    <t xml:space="preserve">PATRIMONIO </t>
  </si>
  <si>
    <t xml:space="preserve">Edificios </t>
  </si>
  <si>
    <t xml:space="preserve">TOTAL ACTIVO </t>
  </si>
  <si>
    <t xml:space="preserve">TOTAL PASIVO Y PATRIMONIO </t>
  </si>
  <si>
    <t xml:space="preserve">INGRESOS </t>
  </si>
  <si>
    <t xml:space="preserve">Ventas </t>
  </si>
  <si>
    <t xml:space="preserve">GASTOS DE ADMINISTRACION Y VENTAS </t>
  </si>
  <si>
    <t xml:space="preserve">Equipos de Computación </t>
  </si>
  <si>
    <t>Promoción y Publicidad</t>
  </si>
  <si>
    <t>Combustibles</t>
  </si>
  <si>
    <t>Crédito tributario</t>
  </si>
  <si>
    <t>iva cobrado</t>
  </si>
  <si>
    <t>iva pagado</t>
  </si>
  <si>
    <t>más</t>
  </si>
  <si>
    <t>menos</t>
  </si>
  <si>
    <t>impuesto a pagar</t>
  </si>
  <si>
    <t>pasivo</t>
  </si>
  <si>
    <t>con escritura de elevación de capital (notario)</t>
  </si>
  <si>
    <t>fondo para futuras capitalizaciones   o reservas</t>
  </si>
  <si>
    <t>retención en la fuente   pasivo  dentro de obligaciones fiscales</t>
  </si>
  <si>
    <t>activo diferido</t>
  </si>
  <si>
    <t>TOTAL DEL PATRIMONIO</t>
  </si>
  <si>
    <t>Gastos de gestión</t>
  </si>
  <si>
    <t>Cuentas por cobrar</t>
  </si>
  <si>
    <t>Impuestos, contribuciones y otros</t>
  </si>
  <si>
    <t>Gastos de viaje</t>
  </si>
  <si>
    <t>Transporte</t>
  </si>
  <si>
    <t>ESTADO DE RESULTADOS</t>
  </si>
  <si>
    <t>GASTOS FINANCIEROS</t>
  </si>
  <si>
    <t>Sueldos, salarios y demás remuneraciones</t>
  </si>
  <si>
    <t>Crédito Tributario (IR) Año corriente</t>
  </si>
  <si>
    <t>BALANCE GENERAL</t>
  </si>
  <si>
    <t>RESULTADOS</t>
  </si>
  <si>
    <t>Ventas 12%</t>
  </si>
  <si>
    <t>Aporte a la Seguridad Social</t>
  </si>
  <si>
    <t>CRESPO GUILLEN GALO EDUARDO.- RADIO MAGICA FM</t>
  </si>
  <si>
    <t>Maquinaria, equipo e instalaciones</t>
  </si>
  <si>
    <t>Vehículos</t>
  </si>
  <si>
    <t>Dep. acumulada activo fijo</t>
  </si>
  <si>
    <t>Terrenos</t>
  </si>
  <si>
    <t>Cuentas por pagar proveedores</t>
  </si>
  <si>
    <t>Obligaciones con Instituciones financieras</t>
  </si>
  <si>
    <t>NO CORRIENTE</t>
  </si>
  <si>
    <t xml:space="preserve">              Galo Eduardo Crespo Guillén                                  C.P.A. María Eulalia Orellana</t>
  </si>
  <si>
    <t xml:space="preserve">                                                      GERENTE                                                                     CONTADORA                                                 </t>
  </si>
  <si>
    <t>Beneficios sociales e indemnizaciones</t>
  </si>
  <si>
    <t>Mantenimiento y reparaciones</t>
  </si>
  <si>
    <t>Depreciación de activos fijos</t>
  </si>
  <si>
    <t>Servicios públicos</t>
  </si>
  <si>
    <t>UTILIDAD DEL EJERCICIO</t>
  </si>
  <si>
    <t>(-) 15% Participación trabajadores</t>
  </si>
  <si>
    <t xml:space="preserve">              Galo Eduardo Crespo Guillén                            C.P.A. María Eulalia Orellana</t>
  </si>
  <si>
    <t>(.) Prov. Ctas. Incobrables</t>
  </si>
  <si>
    <t>Patrimonio</t>
  </si>
  <si>
    <t>Honorarios Profesionales</t>
  </si>
  <si>
    <t>Pagos por otros servicios</t>
  </si>
  <si>
    <t xml:space="preserve">                                                               GERENTE                                                                     CONTADORA                                                 </t>
  </si>
  <si>
    <t>Intereses  bancarias</t>
  </si>
  <si>
    <t>Comisiones bancarias</t>
  </si>
  <si>
    <t>SEGUNDO AÑO</t>
  </si>
  <si>
    <t>Crédito Tributario (IVA) Año corriente</t>
  </si>
  <si>
    <t>ACTIVO FIJO</t>
  </si>
  <si>
    <t>MES COMPRA</t>
  </si>
  <si>
    <t>VALOR</t>
  </si>
  <si>
    <t>PERIODOS</t>
  </si>
  <si>
    <t>MAQUINARIAS</t>
  </si>
  <si>
    <t>TERRENOS</t>
  </si>
  <si>
    <t>MUEBLES</t>
  </si>
  <si>
    <t>EQ COMP</t>
  </si>
  <si>
    <t>VH</t>
  </si>
  <si>
    <t>DEP SRI 13</t>
  </si>
  <si>
    <t>DEP SRI 12</t>
  </si>
  <si>
    <t>DEP SRI 14</t>
  </si>
  <si>
    <t>INMUEBLES</t>
  </si>
  <si>
    <t xml:space="preserve">Fondos de Reserva </t>
  </si>
  <si>
    <t>Muebles y Enseres</t>
  </si>
  <si>
    <t>Cuentas por pagar empleados</t>
  </si>
  <si>
    <t>DEP SRI 15</t>
  </si>
  <si>
    <t>Comisiones</t>
  </si>
  <si>
    <t>Cuentas por pagar IESS</t>
  </si>
  <si>
    <t>DEP SRI 16</t>
  </si>
  <si>
    <t>POR DEPRECIAR</t>
  </si>
  <si>
    <t>PÉRDIDA DEL EJERCICIO</t>
  </si>
  <si>
    <t>DEP SRI 17</t>
  </si>
  <si>
    <t>DEP PARCIAL</t>
  </si>
  <si>
    <t>DEP ACUMULADA 2017</t>
  </si>
  <si>
    <t>Participación trabajadores por pagar</t>
  </si>
  <si>
    <t>Pagos por otros bienes</t>
  </si>
  <si>
    <t>DEP SRI 18</t>
  </si>
  <si>
    <t xml:space="preserve">Otras cuentas por pagar </t>
  </si>
  <si>
    <t>Arriendo</t>
  </si>
  <si>
    <t>DEP SRI 19</t>
  </si>
  <si>
    <t>Cuentas por pagar SRI</t>
  </si>
  <si>
    <t>Rendimientos financieros</t>
  </si>
  <si>
    <t>parcial</t>
  </si>
  <si>
    <t>completo</t>
  </si>
  <si>
    <t>DEP SRI 20</t>
  </si>
  <si>
    <t>ya no se deprecia este año</t>
  </si>
  <si>
    <t>DEPRECIADO</t>
  </si>
  <si>
    <t>Pérdida del Ejercicio</t>
  </si>
  <si>
    <t>DEP SRI 21</t>
  </si>
  <si>
    <t>DEL EJERCICIO FISCAL COMPRENDIDO DEL 1° DE ENERO AL 31 DE DICIEMBRE DEL 2021</t>
  </si>
  <si>
    <t>Suministros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</si>
</sst>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_([$$-300A]\ * #,##0.00_);_([$$-300A]\ * \(#,##0.00\);_([$$-300A]\ * &quot;-&quot;??_);_(@_)"/>
    <numFmt numFmtId="166" formatCode="_ [$$-300A]* #,##0.00_ ;_ [$$-300A]* \-#,##0.00_ ;_ [$$-300A]* &quot;-&quot;??_ ;_ @_ "/>
  </numFmts>
  <fonts count="20">
    <font>
      <sz val="10"/>
      <name val="Arial"/>
    </font>
    <font>
      <sz val="10"/>
      <name val="Arial"/>
      <family val="2"/>
    </font>
    <font>
      <sz val="10"/>
      <name val="American Classic"/>
      <family val="1"/>
    </font>
    <font>
      <b/>
      <sz val="10"/>
      <name val="American Classic"/>
      <family val="1"/>
    </font>
    <font>
      <sz val="10"/>
      <name val="Century Gothic"/>
      <family val="2"/>
    </font>
    <font>
      <b/>
      <sz val="10"/>
      <name val="Century Gothic"/>
      <family val="2"/>
    </font>
    <font>
      <sz val="10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name val="American Classic"/>
      <family val="1"/>
    </font>
    <font>
      <b/>
      <sz val="14"/>
      <name val="Broadway"/>
      <family val="5"/>
    </font>
    <font>
      <sz val="10"/>
      <name val="Britannic Bold"/>
      <family val="2"/>
    </font>
    <font>
      <sz val="10"/>
      <color rgb="FF0070C0"/>
      <name val="American Classic"/>
      <family val="1"/>
    </font>
    <font>
      <sz val="10"/>
      <color theme="3" tint="0.39997558519241921"/>
      <name val="American Classic"/>
      <family val="1"/>
    </font>
    <font>
      <sz val="10"/>
      <color theme="3" tint="0.39997558519241921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/>
    <xf numFmtId="4" fontId="4" fillId="0" borderId="0" xfId="0" applyNumberFormat="1" applyFont="1" applyFill="1"/>
    <xf numFmtId="165" fontId="4" fillId="0" borderId="0" xfId="0" applyNumberFormat="1" applyFont="1" applyFill="1"/>
    <xf numFmtId="165" fontId="14" fillId="0" borderId="0" xfId="0" applyNumberFormat="1" applyFont="1" applyFill="1"/>
    <xf numFmtId="0" fontId="13" fillId="0" borderId="0" xfId="0" applyFont="1" applyFill="1"/>
    <xf numFmtId="0" fontId="12" fillId="0" borderId="0" xfId="0" applyFont="1" applyFill="1"/>
    <xf numFmtId="2" fontId="4" fillId="0" borderId="0" xfId="0" applyNumberFormat="1" applyFont="1" applyFill="1"/>
    <xf numFmtId="165" fontId="4" fillId="0" borderId="1" xfId="0" applyNumberFormat="1" applyFont="1" applyFill="1" applyBorder="1"/>
    <xf numFmtId="0" fontId="11" fillId="0" borderId="0" xfId="0" applyFont="1" applyFill="1"/>
    <xf numFmtId="0" fontId="8" fillId="0" borderId="0" xfId="0" applyFont="1" applyFill="1"/>
    <xf numFmtId="0" fontId="10" fillId="0" borderId="0" xfId="0" applyFont="1" applyFill="1" applyAlignment="1"/>
    <xf numFmtId="0" fontId="7" fillId="0" borderId="0" xfId="0" applyFont="1" applyFill="1" applyAlignment="1"/>
    <xf numFmtId="0" fontId="9" fillId="0" borderId="0" xfId="0" applyFont="1" applyFill="1" applyAlignment="1"/>
    <xf numFmtId="0" fontId="0" fillId="0" borderId="0" xfId="0" applyFill="1"/>
    <xf numFmtId="165" fontId="4" fillId="0" borderId="2" xfId="0" applyNumberFormat="1" applyFont="1" applyFill="1" applyBorder="1"/>
    <xf numFmtId="165" fontId="4" fillId="0" borderId="0" xfId="0" applyNumberFormat="1" applyFont="1" applyFill="1" applyBorder="1"/>
    <xf numFmtId="4" fontId="4" fillId="0" borderId="0" xfId="0" applyNumberFormat="1" applyFont="1" applyFill="1" applyBorder="1"/>
    <xf numFmtId="165" fontId="17" fillId="2" borderId="0" xfId="1" applyNumberFormat="1" applyFont="1" applyFill="1"/>
    <xf numFmtId="166" fontId="4" fillId="0" borderId="0" xfId="0" applyNumberFormat="1" applyFont="1" applyFill="1"/>
    <xf numFmtId="0" fontId="6" fillId="0" borderId="0" xfId="0" applyFont="1" applyFill="1"/>
    <xf numFmtId="0" fontId="1" fillId="0" borderId="0" xfId="0" applyFont="1" applyFill="1"/>
    <xf numFmtId="165" fontId="0" fillId="0" borderId="0" xfId="1" applyNumberFormat="1" applyFont="1" applyFill="1"/>
    <xf numFmtId="165" fontId="0" fillId="0" borderId="0" xfId="0" applyNumberFormat="1" applyFill="1"/>
    <xf numFmtId="2" fontId="0" fillId="0" borderId="0" xfId="0" applyNumberFormat="1" applyFill="1"/>
    <xf numFmtId="166" fontId="0" fillId="0" borderId="0" xfId="0" applyNumberFormat="1" applyFill="1"/>
    <xf numFmtId="166" fontId="18" fillId="3" borderId="0" xfId="0" applyNumberFormat="1" applyFont="1" applyFill="1"/>
    <xf numFmtId="165" fontId="19" fillId="4" borderId="0" xfId="1" applyNumberFormat="1" applyFont="1" applyFill="1"/>
    <xf numFmtId="0" fontId="0" fillId="4" borderId="0" xfId="0" applyFill="1"/>
    <xf numFmtId="2" fontId="0" fillId="4" borderId="0" xfId="0" applyNumberFormat="1" applyFill="1"/>
    <xf numFmtId="165" fontId="0" fillId="4" borderId="0" xfId="1" applyNumberFormat="1" applyFont="1" applyFill="1"/>
    <xf numFmtId="0" fontId="3" fillId="0" borderId="0" xfId="0" applyFont="1" applyFill="1" applyAlignment="1">
      <alignment horizontal="center"/>
    </xf>
    <xf numFmtId="0" fontId="0" fillId="5" borderId="0" xfId="0" applyFill="1"/>
    <xf numFmtId="165" fontId="0" fillId="5" borderId="0" xfId="0" applyNumberFormat="1" applyFill="1"/>
    <xf numFmtId="165" fontId="2" fillId="0" borderId="0" xfId="0" applyNumberFormat="1" applyFont="1" applyFill="1"/>
    <xf numFmtId="166" fontId="2" fillId="0" borderId="0" xfId="0" applyNumberFormat="1" applyFont="1" applyFill="1"/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</xdr:colOff>
      <xdr:row>0</xdr:row>
      <xdr:rowOff>95250</xdr:rowOff>
    </xdr:from>
    <xdr:to>
      <xdr:col>9</xdr:col>
      <xdr:colOff>695325</xdr:colOff>
      <xdr:row>3</xdr:row>
      <xdr:rowOff>76608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95250"/>
          <a:ext cx="638175" cy="590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6</xdr:row>
      <xdr:rowOff>133350</xdr:rowOff>
    </xdr:to>
    <xdr:sp macro="" textlink="">
      <xdr:nvSpPr>
        <xdr:cNvPr id="2" name="AutoShape 1" descr="cid:image001.jpg@01CBC95A.2B2FBEA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00825" y="990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843914</xdr:colOff>
      <xdr:row>0</xdr:row>
      <xdr:rowOff>167640</xdr:rowOff>
    </xdr:from>
    <xdr:to>
      <xdr:col>8</xdr:col>
      <xdr:colOff>615314</xdr:colOff>
      <xdr:row>3</xdr:row>
      <xdr:rowOff>122328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6934" y="167640"/>
          <a:ext cx="662940" cy="518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ografias.com/trabajos11/veref/veref.s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8"/>
  <sheetViews>
    <sheetView tabSelected="1" topLeftCell="A16" workbookViewId="0">
      <selection activeCell="J32" sqref="J32"/>
    </sheetView>
  </sheetViews>
  <sheetFormatPr baseColWidth="10" defaultColWidth="11.42578125" defaultRowHeight="13.5"/>
  <cols>
    <col min="1" max="3" width="11.42578125" style="2"/>
    <col min="4" max="4" width="13.7109375" style="2" bestFit="1" customWidth="1"/>
    <col min="5" max="5" width="13.42578125" style="2" customWidth="1"/>
    <col min="6" max="6" width="2" style="2" customWidth="1"/>
    <col min="7" max="7" width="31.42578125" style="2" customWidth="1"/>
    <col min="8" max="8" width="6.5703125" style="2" customWidth="1"/>
    <col min="9" max="9" width="13" style="2" bestFit="1" customWidth="1"/>
    <col min="10" max="10" width="14.28515625" style="2" customWidth="1"/>
    <col min="11" max="11" width="12" style="2" bestFit="1" customWidth="1"/>
    <col min="12" max="25" width="11.42578125" style="2"/>
    <col min="26" max="26" width="13.7109375" style="2" customWidth="1"/>
    <col min="27" max="27" width="11.42578125" style="2"/>
    <col min="28" max="28" width="12" style="2" bestFit="1" customWidth="1"/>
    <col min="29" max="16384" width="11.42578125" style="2"/>
  </cols>
  <sheetData>
    <row r="1" spans="1:30" ht="18">
      <c r="A1" s="39" t="s">
        <v>42</v>
      </c>
      <c r="B1" s="39"/>
      <c r="C1" s="39"/>
      <c r="D1" s="39"/>
      <c r="E1" s="39"/>
      <c r="F1" s="39"/>
      <c r="G1" s="39"/>
      <c r="H1" s="39"/>
      <c r="I1" s="39"/>
      <c r="J1" s="39"/>
    </row>
    <row r="2" spans="1:30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30" s="12" customFormat="1" ht="16.5">
      <c r="A3" s="40" t="s">
        <v>38</v>
      </c>
      <c r="B3" s="40"/>
      <c r="C3" s="40"/>
      <c r="D3" s="40"/>
      <c r="E3" s="40"/>
      <c r="F3" s="40"/>
      <c r="G3" s="40"/>
      <c r="H3" s="40"/>
      <c r="I3" s="40"/>
      <c r="J3" s="40"/>
    </row>
    <row r="4" spans="1:30" s="12" customFormat="1" ht="16.5">
      <c r="A4" s="41" t="s">
        <v>108</v>
      </c>
      <c r="B4" s="41"/>
      <c r="C4" s="41"/>
      <c r="D4" s="41"/>
      <c r="E4" s="41"/>
      <c r="F4" s="41"/>
      <c r="G4" s="41"/>
      <c r="H4" s="41"/>
      <c r="I4" s="41"/>
      <c r="J4" s="41"/>
    </row>
    <row r="5" spans="1:30">
      <c r="A5" s="33"/>
      <c r="B5" s="33"/>
      <c r="C5" s="33"/>
      <c r="D5" s="33"/>
      <c r="E5" s="33"/>
      <c r="F5" s="33"/>
      <c r="G5" s="33"/>
      <c r="H5" s="33"/>
      <c r="I5" s="33"/>
    </row>
    <row r="7" spans="1:30">
      <c r="A7" s="3" t="s">
        <v>0</v>
      </c>
      <c r="G7" s="3" t="s">
        <v>1</v>
      </c>
    </row>
    <row r="8" spans="1:30">
      <c r="A8" s="3" t="s">
        <v>2</v>
      </c>
      <c r="D8" s="5"/>
      <c r="E8" s="5">
        <f>SUM(D9:D13)</f>
        <v>23381.1</v>
      </c>
      <c r="G8" s="3" t="s">
        <v>3</v>
      </c>
      <c r="I8" s="5"/>
      <c r="J8" s="5">
        <f>+I9+I10+I11+I12+I13</f>
        <v>6175.78</v>
      </c>
    </row>
    <row r="9" spans="1:30">
      <c r="A9" s="2" t="s">
        <v>4</v>
      </c>
      <c r="D9" s="5">
        <v>5382.16</v>
      </c>
      <c r="E9" s="5"/>
      <c r="G9" s="2" t="s">
        <v>47</v>
      </c>
      <c r="I9" s="5">
        <v>5580</v>
      </c>
      <c r="J9" s="5"/>
      <c r="K9" s="4"/>
    </row>
    <row r="10" spans="1:30">
      <c r="A10" s="2" t="s">
        <v>30</v>
      </c>
      <c r="D10" s="5">
        <v>10656.05</v>
      </c>
      <c r="E10" s="5"/>
      <c r="G10" s="2" t="s">
        <v>83</v>
      </c>
      <c r="I10" s="5">
        <v>0</v>
      </c>
      <c r="J10" s="5"/>
    </row>
    <row r="11" spans="1:30">
      <c r="A11" s="2" t="s">
        <v>59</v>
      </c>
      <c r="D11" s="5"/>
      <c r="E11" s="5"/>
      <c r="G11" s="2" t="s">
        <v>86</v>
      </c>
      <c r="I11" s="5">
        <v>0</v>
      </c>
      <c r="J11" s="5"/>
    </row>
    <row r="12" spans="1:30">
      <c r="A12" s="2" t="s">
        <v>67</v>
      </c>
      <c r="D12" s="5">
        <v>7342.89</v>
      </c>
      <c r="G12" s="2" t="s">
        <v>99</v>
      </c>
      <c r="I12" s="5">
        <f>40.88+82.99+271.88+200.03</f>
        <v>595.78</v>
      </c>
      <c r="K12" s="4"/>
    </row>
    <row r="13" spans="1:30">
      <c r="A13" s="2" t="s">
        <v>37</v>
      </c>
      <c r="D13" s="5">
        <v>0</v>
      </c>
      <c r="E13" s="5"/>
      <c r="G13" s="2" t="s">
        <v>93</v>
      </c>
      <c r="I13" s="5">
        <v>0</v>
      </c>
      <c r="K13" s="9"/>
    </row>
    <row r="14" spans="1:30">
      <c r="E14" s="5"/>
      <c r="K14" s="9"/>
    </row>
    <row r="15" spans="1:30">
      <c r="G15" s="3" t="s">
        <v>49</v>
      </c>
      <c r="I15" s="5"/>
      <c r="J15" s="5">
        <f>+I16+I17</f>
        <v>69045.84</v>
      </c>
    </row>
    <row r="16" spans="1:30">
      <c r="A16" s="3" t="s">
        <v>6</v>
      </c>
      <c r="D16" s="5"/>
      <c r="E16" s="5">
        <f>SUM(D17:D23)</f>
        <v>32351.98366666666</v>
      </c>
      <c r="G16" s="2" t="s">
        <v>48</v>
      </c>
      <c r="H16" s="4"/>
      <c r="I16" s="5">
        <v>69045.84</v>
      </c>
      <c r="J16" s="5"/>
      <c r="W16" s="2" t="s">
        <v>43</v>
      </c>
      <c r="Z16" s="5">
        <f>67452.1-17000</f>
        <v>50452.100000000006</v>
      </c>
      <c r="AA16" s="2">
        <f>+Z16*20%</f>
        <v>10090.420000000002</v>
      </c>
      <c r="AB16" s="5">
        <f>+Z16-AA16</f>
        <v>40361.680000000008</v>
      </c>
      <c r="AC16" s="2">
        <f>+AB16/120</f>
        <v>336.34733333333338</v>
      </c>
      <c r="AD16" s="2">
        <f>+AC16*12</f>
        <v>4036.1680000000006</v>
      </c>
    </row>
    <row r="17" spans="1:31">
      <c r="A17" s="2" t="s">
        <v>8</v>
      </c>
      <c r="D17" s="5">
        <v>35000</v>
      </c>
      <c r="E17" s="5"/>
      <c r="G17" s="2" t="s">
        <v>96</v>
      </c>
      <c r="H17" s="4"/>
      <c r="I17" s="5"/>
      <c r="J17" s="5"/>
      <c r="W17" s="2" t="s">
        <v>44</v>
      </c>
      <c r="Z17" s="5">
        <v>9000</v>
      </c>
      <c r="AA17" s="2">
        <f>+Z17*20%</f>
        <v>1800</v>
      </c>
      <c r="AB17" s="5">
        <f>+Z17-AA17</f>
        <v>7200</v>
      </c>
      <c r="AC17" s="2">
        <f>+AB17/60</f>
        <v>120</v>
      </c>
      <c r="AD17" s="2">
        <f>+AC17*12</f>
        <v>1440</v>
      </c>
      <c r="AE17" s="2" t="s">
        <v>66</v>
      </c>
    </row>
    <row r="18" spans="1:31">
      <c r="A18" s="2" t="s">
        <v>43</v>
      </c>
      <c r="D18" s="5">
        <f>2272.8+67452.1</f>
        <v>69724.900000000009</v>
      </c>
      <c r="G18" s="3" t="s">
        <v>5</v>
      </c>
      <c r="I18" s="5"/>
      <c r="J18" s="5">
        <f>+J15+J8</f>
        <v>75221.62</v>
      </c>
      <c r="W18" s="2" t="s">
        <v>14</v>
      </c>
      <c r="Z18" s="5">
        <v>1480</v>
      </c>
      <c r="AA18" s="2">
        <f>+Z18*20%</f>
        <v>296</v>
      </c>
      <c r="AB18" s="5">
        <f>+Z18-AA18</f>
        <v>1184</v>
      </c>
      <c r="AC18" s="2">
        <f>+AB18/36</f>
        <v>32.888888888888886</v>
      </c>
      <c r="AD18" s="2">
        <f>+AC18*12</f>
        <v>394.66666666666663</v>
      </c>
    </row>
    <row r="19" spans="1:31">
      <c r="A19" s="2" t="s">
        <v>44</v>
      </c>
      <c r="D19" s="5">
        <v>33026.79</v>
      </c>
      <c r="I19" s="5"/>
      <c r="J19" s="5"/>
      <c r="W19" s="2" t="s">
        <v>45</v>
      </c>
      <c r="Z19" s="5">
        <v>-12937.23</v>
      </c>
    </row>
    <row r="20" spans="1:31">
      <c r="A20" s="2" t="s">
        <v>14</v>
      </c>
      <c r="D20" s="5">
        <v>4763.83</v>
      </c>
      <c r="I20" s="5"/>
      <c r="J20" s="5"/>
    </row>
    <row r="21" spans="1:31">
      <c r="A21" s="2" t="s">
        <v>82</v>
      </c>
      <c r="D21" s="5">
        <v>7762.93</v>
      </c>
      <c r="G21" s="3" t="s">
        <v>7</v>
      </c>
      <c r="I21" s="5"/>
      <c r="J21" s="5">
        <f>+I22+I24</f>
        <v>-19488.53666666666</v>
      </c>
      <c r="L21" s="5"/>
    </row>
    <row r="22" spans="1:31">
      <c r="A22" s="2" t="s">
        <v>45</v>
      </c>
      <c r="D22" s="5">
        <f>-'ACTIVO FIJO'!E20</f>
        <v>-119388.31633333332</v>
      </c>
      <c r="E22" s="5"/>
      <c r="G22" s="2" t="s">
        <v>60</v>
      </c>
      <c r="I22" s="5">
        <v>-7705.04</v>
      </c>
      <c r="J22" s="5"/>
    </row>
    <row r="23" spans="1:31">
      <c r="A23" s="2" t="s">
        <v>46</v>
      </c>
      <c r="D23" s="5">
        <v>1461.85</v>
      </c>
      <c r="E23" s="5"/>
      <c r="G23" s="3" t="s">
        <v>39</v>
      </c>
      <c r="I23" s="5"/>
      <c r="J23" s="5"/>
    </row>
    <row r="24" spans="1:31">
      <c r="D24" s="5"/>
      <c r="E24" s="5"/>
      <c r="G24" s="2" t="s">
        <v>106</v>
      </c>
      <c r="I24" s="5">
        <f>+'Balance Resultados 2021'!H53</f>
        <v>-11783.496666666659</v>
      </c>
      <c r="J24" s="5"/>
    </row>
    <row r="25" spans="1:31">
      <c r="D25" s="5"/>
      <c r="E25" s="5"/>
      <c r="I25" s="5"/>
      <c r="J25" s="5"/>
    </row>
    <row r="26" spans="1:31">
      <c r="D26" s="5"/>
      <c r="E26" s="5"/>
      <c r="G26" s="3" t="s">
        <v>28</v>
      </c>
      <c r="I26" s="5"/>
      <c r="J26" s="5">
        <f>+J21</f>
        <v>-19488.53666666666</v>
      </c>
    </row>
    <row r="27" spans="1:31">
      <c r="D27" s="5"/>
      <c r="E27" s="5"/>
      <c r="I27" s="5"/>
      <c r="J27" s="5"/>
    </row>
    <row r="28" spans="1:31" ht="14.25" thickBot="1">
      <c r="A28" s="3" t="s">
        <v>9</v>
      </c>
      <c r="D28" s="5"/>
      <c r="E28" s="10">
        <f>SUM(E8:E26)</f>
        <v>55733.083666666658</v>
      </c>
      <c r="G28" s="3" t="s">
        <v>10</v>
      </c>
      <c r="I28" s="5"/>
      <c r="J28" s="10">
        <f>+J26+J18</f>
        <v>55733.083333333336</v>
      </c>
      <c r="K28" s="5"/>
    </row>
    <row r="29" spans="1:31" ht="14.25" thickTop="1">
      <c r="J29" s="5"/>
    </row>
    <row r="30" spans="1:31">
      <c r="A30" s="3"/>
      <c r="J30" s="4"/>
    </row>
    <row r="31" spans="1:31">
      <c r="E31" s="21"/>
      <c r="G31" s="3"/>
      <c r="I31" s="4"/>
      <c r="J31" s="4"/>
    </row>
    <row r="33" spans="1:9" s="11" customFormat="1" ht="12.75">
      <c r="A33" s="42" t="s">
        <v>50</v>
      </c>
      <c r="B33" s="42"/>
      <c r="C33" s="42"/>
      <c r="D33" s="42"/>
      <c r="E33" s="42"/>
      <c r="F33" s="42"/>
      <c r="G33" s="42"/>
      <c r="H33" s="42"/>
      <c r="I33" s="42"/>
    </row>
    <row r="34" spans="1:9">
      <c r="A34" s="38" t="s">
        <v>51</v>
      </c>
      <c r="B34" s="38"/>
      <c r="C34" s="38"/>
      <c r="D34" s="38"/>
      <c r="E34" s="38"/>
      <c r="F34" s="38"/>
      <c r="G34" s="38"/>
      <c r="H34" s="38"/>
      <c r="I34" s="38"/>
    </row>
    <row r="38" spans="1:9">
      <c r="A38" s="3"/>
      <c r="B38" s="3"/>
      <c r="C38" s="3"/>
      <c r="D38" s="3"/>
      <c r="F38" s="3"/>
      <c r="G38" s="3"/>
      <c r="I38" s="3"/>
    </row>
  </sheetData>
  <mergeCells count="6">
    <mergeCell ref="A34:I34"/>
    <mergeCell ref="A1:J1"/>
    <mergeCell ref="A2:J2"/>
    <mergeCell ref="A3:J3"/>
    <mergeCell ref="A4:J4"/>
    <mergeCell ref="A33:I33"/>
  </mergeCells>
  <hyperlinks>
    <hyperlink ref="A92" r:id="rId1" display="http://www.monografias.com/trabajos11/veref/veref.shtml" xr:uid="{00000000-0004-0000-0000-000000000000}"/>
  </hyperlinks>
  <pageMargins left="0.7" right="0.7" top="0.75" bottom="0.75" header="0.3" footer="0.3"/>
  <pageSetup paperSize="9" orientation="landscape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55"/>
  <sheetViews>
    <sheetView workbookViewId="0">
      <selection activeCell="E15" sqref="E15:E40"/>
    </sheetView>
  </sheetViews>
  <sheetFormatPr baseColWidth="10" defaultColWidth="11.42578125" defaultRowHeight="18" customHeight="1"/>
  <cols>
    <col min="1" max="1" width="4.7109375" style="1" customWidth="1"/>
    <col min="2" max="2" width="13.5703125" style="1" customWidth="1"/>
    <col min="3" max="3" width="11.42578125" style="1"/>
    <col min="4" max="4" width="8.28515625" style="1" customWidth="1"/>
    <col min="5" max="5" width="16.140625" style="1" customWidth="1"/>
    <col min="6" max="6" width="13" style="1" bestFit="1" customWidth="1"/>
    <col min="7" max="7" width="7.42578125" style="1" customWidth="1"/>
    <col min="8" max="8" width="13" style="1" bestFit="1" customWidth="1"/>
    <col min="9" max="9" width="11.42578125" style="1"/>
    <col min="10" max="10" width="19.5703125" style="1" bestFit="1" customWidth="1"/>
    <col min="11" max="16384" width="11.42578125" style="1"/>
  </cols>
  <sheetData>
    <row r="1" spans="1:12" s="2" customFormat="1">
      <c r="A1" s="39" t="s">
        <v>42</v>
      </c>
      <c r="B1" s="39"/>
      <c r="C1" s="39"/>
      <c r="D1" s="39"/>
      <c r="E1" s="39"/>
      <c r="F1" s="39"/>
      <c r="G1" s="39"/>
      <c r="H1" s="39"/>
      <c r="I1" s="13"/>
      <c r="J1" s="13"/>
    </row>
    <row r="2" spans="1:12" s="2" customFormat="1" ht="13.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2" s="12" customFormat="1" ht="16.5">
      <c r="A3" s="40" t="s">
        <v>34</v>
      </c>
      <c r="B3" s="40"/>
      <c r="C3" s="40"/>
      <c r="D3" s="40"/>
      <c r="E3" s="40"/>
      <c r="F3" s="40"/>
      <c r="G3" s="40"/>
      <c r="H3" s="40"/>
      <c r="I3" s="14"/>
      <c r="J3" s="14"/>
    </row>
    <row r="4" spans="1:12" s="12" customFormat="1" ht="16.5">
      <c r="A4" s="43" t="s">
        <v>108</v>
      </c>
      <c r="B4" s="43"/>
      <c r="C4" s="43"/>
      <c r="D4" s="43"/>
      <c r="E4" s="43"/>
      <c r="F4" s="43"/>
      <c r="G4" s="43"/>
      <c r="H4" s="43"/>
      <c r="I4" s="15"/>
      <c r="J4" s="15"/>
    </row>
    <row r="5" spans="1:12" ht="13.5">
      <c r="A5" s="2"/>
      <c r="B5" s="2"/>
      <c r="C5" s="2"/>
      <c r="D5" s="2"/>
      <c r="E5" s="2"/>
      <c r="F5" s="2"/>
      <c r="G5" s="2"/>
      <c r="H5" s="2"/>
      <c r="I5" s="2"/>
    </row>
    <row r="6" spans="1:12" ht="13.5">
      <c r="A6" s="2"/>
      <c r="B6" s="2"/>
      <c r="C6" s="2"/>
      <c r="D6" s="2"/>
      <c r="E6" s="2"/>
      <c r="F6" s="2"/>
      <c r="G6" s="2"/>
      <c r="H6" s="2"/>
      <c r="I6" s="2"/>
      <c r="J6" s="16"/>
    </row>
    <row r="7" spans="1:12" ht="13.5">
      <c r="A7" s="2"/>
      <c r="B7" s="3" t="s">
        <v>11</v>
      </c>
      <c r="C7" s="2"/>
      <c r="D7" s="2"/>
      <c r="E7" s="5"/>
      <c r="F7" s="5"/>
      <c r="G7" s="5"/>
      <c r="H7" s="5">
        <f>+F8</f>
        <v>126507.26</v>
      </c>
      <c r="I7" s="2"/>
    </row>
    <row r="8" spans="1:12" ht="13.5">
      <c r="A8" s="2"/>
      <c r="B8" s="2" t="s">
        <v>12</v>
      </c>
      <c r="C8" s="2"/>
      <c r="D8" s="2"/>
      <c r="E8" s="5"/>
      <c r="F8" s="5">
        <f>SUM(E9:E10)</f>
        <v>126507.26</v>
      </c>
      <c r="G8" s="5"/>
      <c r="H8" s="5"/>
      <c r="I8" s="2"/>
    </row>
    <row r="9" spans="1:12" ht="13.5">
      <c r="A9" s="2"/>
      <c r="B9" s="2" t="s">
        <v>40</v>
      </c>
      <c r="C9" s="2"/>
      <c r="D9" s="2"/>
      <c r="E9" s="5">
        <v>125694.39999999999</v>
      </c>
      <c r="F9" s="5"/>
      <c r="G9" s="5"/>
      <c r="H9" s="5"/>
      <c r="I9" s="2"/>
    </row>
    <row r="10" spans="1:12" ht="13.5">
      <c r="A10" s="2"/>
      <c r="B10" s="2" t="s">
        <v>100</v>
      </c>
      <c r="C10" s="2"/>
      <c r="D10" s="2"/>
      <c r="E10" s="5">
        <f>812.86</f>
        <v>812.86</v>
      </c>
      <c r="F10" s="5"/>
      <c r="G10" s="5"/>
      <c r="H10" s="5"/>
      <c r="I10" s="2"/>
    </row>
    <row r="11" spans="1:12" ht="13.5">
      <c r="A11" s="2"/>
      <c r="B11" s="2"/>
      <c r="C11" s="2"/>
      <c r="D11" s="2"/>
      <c r="E11" s="5"/>
      <c r="F11" s="5"/>
      <c r="G11" s="5"/>
      <c r="H11" s="5"/>
      <c r="I11" s="2"/>
    </row>
    <row r="12" spans="1:12" ht="13.5">
      <c r="A12" s="2"/>
      <c r="B12" s="2"/>
      <c r="C12" s="2"/>
      <c r="D12" s="2"/>
      <c r="E12" s="5"/>
      <c r="F12" s="5"/>
      <c r="G12" s="5"/>
      <c r="H12" s="5"/>
      <c r="I12" s="2"/>
    </row>
    <row r="13" spans="1:12" ht="13.5">
      <c r="A13" s="2"/>
      <c r="B13" s="3" t="s">
        <v>13</v>
      </c>
      <c r="C13" s="2"/>
      <c r="D13" s="2"/>
      <c r="E13" s="5"/>
      <c r="F13" s="5"/>
      <c r="G13" s="5"/>
      <c r="H13" s="5">
        <f>SUM(E15:E35)</f>
        <v>129491.36666666665</v>
      </c>
      <c r="I13" s="2"/>
    </row>
    <row r="14" spans="1:12" ht="13.5">
      <c r="A14" s="2"/>
      <c r="B14" s="2"/>
      <c r="C14" s="2"/>
      <c r="D14" s="2"/>
      <c r="E14" s="5"/>
      <c r="F14" s="5"/>
      <c r="G14" s="5"/>
      <c r="H14" s="5"/>
      <c r="I14" s="2"/>
    </row>
    <row r="15" spans="1:12" ht="13.5">
      <c r="A15" s="2"/>
      <c r="B15" s="2"/>
      <c r="C15" s="2"/>
      <c r="D15" s="2"/>
      <c r="E15" s="5"/>
      <c r="F15" s="6"/>
      <c r="G15" s="5"/>
      <c r="H15" s="5"/>
      <c r="I15" s="2"/>
    </row>
    <row r="16" spans="1:12" ht="13.5">
      <c r="A16" s="2"/>
      <c r="B16" s="2" t="s">
        <v>36</v>
      </c>
      <c r="C16" s="2"/>
      <c r="D16" s="2"/>
      <c r="E16" s="5">
        <v>27638.04</v>
      </c>
      <c r="F16" s="5"/>
      <c r="G16" s="5"/>
      <c r="H16" s="5"/>
      <c r="I16" s="2"/>
      <c r="K16" s="8"/>
      <c r="L16" s="8"/>
    </row>
    <row r="17" spans="1:12" ht="13.5">
      <c r="A17" s="2"/>
      <c r="B17" s="2" t="s">
        <v>52</v>
      </c>
      <c r="C17" s="2"/>
      <c r="D17" s="2"/>
      <c r="E17" s="5">
        <v>4583.17</v>
      </c>
      <c r="F17" s="6"/>
      <c r="G17" s="5"/>
      <c r="H17" s="5"/>
      <c r="I17" s="2"/>
      <c r="K17" s="8"/>
      <c r="L17" s="8"/>
    </row>
    <row r="18" spans="1:12" ht="13.5">
      <c r="A18" s="2"/>
      <c r="B18" s="2" t="s">
        <v>41</v>
      </c>
      <c r="C18" s="2"/>
      <c r="D18" s="2"/>
      <c r="E18" s="5">
        <v>3081.64</v>
      </c>
      <c r="F18" s="5"/>
      <c r="G18" s="5"/>
      <c r="H18" s="5"/>
      <c r="I18" s="2"/>
      <c r="L18" s="7"/>
    </row>
    <row r="19" spans="1:12" ht="13.5">
      <c r="A19" s="2"/>
      <c r="B19" s="2" t="s">
        <v>81</v>
      </c>
      <c r="C19" s="2"/>
      <c r="D19" s="2"/>
      <c r="E19" s="5">
        <v>2302.25</v>
      </c>
      <c r="F19" s="6"/>
      <c r="G19" s="5"/>
      <c r="H19" s="5"/>
      <c r="I19" s="2"/>
      <c r="K19" s="8"/>
      <c r="L19" s="8"/>
    </row>
    <row r="20" spans="1:12" ht="13.5">
      <c r="A20" s="2"/>
      <c r="B20" s="2" t="s">
        <v>61</v>
      </c>
      <c r="C20" s="2"/>
      <c r="D20" s="2"/>
      <c r="E20" s="5">
        <v>1076</v>
      </c>
      <c r="F20" s="5"/>
      <c r="G20" s="5"/>
      <c r="H20" s="5"/>
      <c r="I20" s="2"/>
    </row>
    <row r="21" spans="1:12" ht="13.5">
      <c r="A21" s="2"/>
      <c r="B21" s="2" t="s">
        <v>53</v>
      </c>
      <c r="C21" s="2"/>
      <c r="D21" s="2"/>
      <c r="E21" s="5">
        <v>7573.52</v>
      </c>
      <c r="F21" s="5"/>
      <c r="G21" s="5"/>
      <c r="H21" s="5"/>
      <c r="I21" s="2"/>
      <c r="L21" s="8"/>
    </row>
    <row r="22" spans="1:12" ht="13.5">
      <c r="A22" s="2"/>
      <c r="B22" s="2" t="s">
        <v>16</v>
      </c>
      <c r="C22" s="2"/>
      <c r="D22" s="2"/>
      <c r="E22" s="5">
        <v>1252.58</v>
      </c>
      <c r="F22" s="5"/>
      <c r="G22" s="5"/>
      <c r="H22" s="5"/>
      <c r="I22" s="2"/>
    </row>
    <row r="23" spans="1:12" ht="13.5">
      <c r="A23" s="2"/>
      <c r="B23" s="2" t="s">
        <v>15</v>
      </c>
      <c r="C23" s="2"/>
      <c r="D23" s="2"/>
      <c r="E23" s="5">
        <v>2581.35</v>
      </c>
      <c r="F23" s="5"/>
      <c r="G23" s="5"/>
      <c r="H23" s="5"/>
      <c r="I23" s="2"/>
    </row>
    <row r="24" spans="1:12" ht="13.5">
      <c r="A24" s="2"/>
      <c r="B24" s="2" t="s">
        <v>97</v>
      </c>
      <c r="C24" s="2"/>
      <c r="D24" s="2"/>
      <c r="E24" s="5">
        <v>1531.88</v>
      </c>
      <c r="F24" s="5"/>
      <c r="G24" s="5"/>
      <c r="H24" s="5"/>
      <c r="I24" s="2"/>
    </row>
    <row r="25" spans="1:12" ht="13.5">
      <c r="A25" s="2"/>
      <c r="B25" s="2" t="s">
        <v>33</v>
      </c>
      <c r="C25" s="2"/>
      <c r="D25" s="2"/>
      <c r="E25" s="5"/>
      <c r="F25" s="5"/>
      <c r="G25" s="5"/>
      <c r="H25" s="5"/>
      <c r="I25" s="2"/>
      <c r="L25" s="7"/>
    </row>
    <row r="26" spans="1:12" ht="13.5">
      <c r="A26" s="2"/>
      <c r="B26" s="2" t="s">
        <v>109</v>
      </c>
      <c r="C26" s="2"/>
      <c r="D26" s="2"/>
      <c r="E26" s="5">
        <v>925.59</v>
      </c>
      <c r="F26" s="5"/>
      <c r="G26" s="5"/>
      <c r="H26" s="5"/>
      <c r="I26" s="2"/>
    </row>
    <row r="27" spans="1:12" ht="13.5">
      <c r="A27" s="2"/>
      <c r="B27" s="2" t="s">
        <v>85</v>
      </c>
      <c r="C27" s="2"/>
      <c r="D27" s="2"/>
      <c r="E27" s="5">
        <v>10717.66</v>
      </c>
      <c r="F27" s="6"/>
      <c r="G27" s="5"/>
      <c r="H27" s="5"/>
      <c r="I27" s="2"/>
      <c r="K27" s="8"/>
      <c r="L27" s="8"/>
    </row>
    <row r="28" spans="1:12" ht="13.5">
      <c r="A28" s="2"/>
      <c r="B28" s="2" t="s">
        <v>29</v>
      </c>
      <c r="C28" s="2"/>
      <c r="D28" s="2"/>
      <c r="E28" s="5">
        <v>1159.8399999999999</v>
      </c>
      <c r="F28" s="5"/>
      <c r="G28" s="5"/>
      <c r="H28" s="5"/>
      <c r="I28" s="2"/>
      <c r="L28" s="8"/>
    </row>
    <row r="29" spans="1:12" ht="13.5">
      <c r="A29" s="2"/>
      <c r="B29" s="2" t="s">
        <v>31</v>
      </c>
      <c r="C29" s="2"/>
      <c r="D29" s="2"/>
      <c r="E29" s="5">
        <v>1362.72</v>
      </c>
      <c r="F29" s="5"/>
      <c r="G29" s="5"/>
      <c r="H29" s="5"/>
      <c r="I29" s="2"/>
    </row>
    <row r="30" spans="1:12" ht="13.5">
      <c r="A30" s="2"/>
      <c r="B30" s="2" t="s">
        <v>32</v>
      </c>
      <c r="C30" s="2"/>
      <c r="D30" s="2"/>
      <c r="E30" s="5">
        <v>1344.53</v>
      </c>
      <c r="F30" s="5"/>
      <c r="G30" s="5"/>
      <c r="H30" s="5"/>
      <c r="I30" s="2"/>
      <c r="L30" s="8"/>
    </row>
    <row r="31" spans="1:12" ht="13.5">
      <c r="A31" s="2"/>
      <c r="B31" s="2" t="s">
        <v>54</v>
      </c>
      <c r="C31" s="2"/>
      <c r="D31" s="2"/>
      <c r="E31" s="5">
        <f>+'ACTIVO FIJO'!E17</f>
        <v>10213.826666666668</v>
      </c>
      <c r="F31" s="5"/>
      <c r="G31" s="5"/>
      <c r="H31" s="5"/>
      <c r="I31" s="2"/>
    </row>
    <row r="32" spans="1:12" ht="13.5">
      <c r="A32" s="2"/>
      <c r="B32" s="2" t="s">
        <v>55</v>
      </c>
      <c r="C32" s="2"/>
      <c r="D32" s="2"/>
      <c r="E32" s="5">
        <v>7847.13</v>
      </c>
      <c r="F32" s="5"/>
      <c r="G32" s="5"/>
      <c r="H32" s="5"/>
      <c r="I32" s="2"/>
    </row>
    <row r="33" spans="1:11" ht="13.5">
      <c r="A33" s="2"/>
      <c r="B33" s="2" t="s">
        <v>62</v>
      </c>
      <c r="C33" s="2"/>
      <c r="D33" s="2"/>
      <c r="E33" s="5">
        <v>40999.85</v>
      </c>
      <c r="F33" s="5"/>
      <c r="G33" s="5"/>
      <c r="H33" s="5"/>
      <c r="I33" s="2"/>
    </row>
    <row r="34" spans="1:11" ht="18" customHeight="1">
      <c r="B34" s="2" t="s">
        <v>94</v>
      </c>
      <c r="E34" s="5">
        <v>3299.79</v>
      </c>
    </row>
    <row r="35" spans="1:11" ht="13.5">
      <c r="A35" s="2"/>
      <c r="B35" s="2"/>
      <c r="C35" s="2"/>
      <c r="D35" s="2"/>
      <c r="E35" s="5"/>
      <c r="F35" s="5"/>
      <c r="G35" s="5"/>
      <c r="H35" s="5"/>
      <c r="I35" s="2"/>
    </row>
    <row r="36" spans="1:11" ht="13.5">
      <c r="A36" s="2"/>
      <c r="B36" s="2"/>
      <c r="C36" s="2"/>
      <c r="D36" s="2"/>
      <c r="E36" s="5"/>
      <c r="F36" s="5"/>
      <c r="G36" s="5"/>
      <c r="H36" s="5"/>
      <c r="I36" s="2"/>
    </row>
    <row r="37" spans="1:11" ht="13.5">
      <c r="A37" s="2"/>
      <c r="B37" s="3" t="s">
        <v>35</v>
      </c>
      <c r="C37" s="2"/>
      <c r="D37" s="2"/>
      <c r="E37" s="5"/>
      <c r="F37" s="5"/>
      <c r="G37" s="5"/>
      <c r="H37" s="5">
        <f>+E38+E39</f>
        <v>8799.39</v>
      </c>
      <c r="I37" s="2"/>
    </row>
    <row r="38" spans="1:11" ht="13.5">
      <c r="A38" s="2"/>
      <c r="B38" s="2" t="s">
        <v>64</v>
      </c>
      <c r="C38" s="2"/>
      <c r="D38" s="2"/>
      <c r="E38" s="5">
        <v>8799.39</v>
      </c>
      <c r="F38" s="5"/>
      <c r="G38" s="5"/>
      <c r="H38" s="5"/>
      <c r="I38" s="2"/>
      <c r="K38" s="36"/>
    </row>
    <row r="39" spans="1:11" ht="13.5">
      <c r="A39" s="2"/>
      <c r="B39" s="2" t="s">
        <v>65</v>
      </c>
      <c r="C39" s="2"/>
      <c r="D39" s="2"/>
      <c r="E39" s="5">
        <v>0</v>
      </c>
      <c r="F39" s="7"/>
      <c r="G39" s="5"/>
      <c r="H39" s="5"/>
      <c r="I39" s="2"/>
      <c r="K39" s="37"/>
    </row>
    <row r="40" spans="1:11" ht="13.5">
      <c r="A40" s="2"/>
      <c r="B40" s="2"/>
      <c r="C40" s="2"/>
      <c r="D40" s="2"/>
      <c r="E40" s="5"/>
      <c r="F40" s="5"/>
      <c r="G40" s="5"/>
      <c r="H40" s="5"/>
      <c r="I40" s="2"/>
    </row>
    <row r="41" spans="1:11" ht="13.5">
      <c r="A41" s="2"/>
      <c r="B41" s="2"/>
      <c r="C41" s="2"/>
      <c r="D41" s="2"/>
      <c r="E41" s="5"/>
      <c r="F41" s="5"/>
      <c r="G41" s="5"/>
      <c r="H41" s="5"/>
      <c r="I41" s="2"/>
    </row>
    <row r="42" spans="1:11" ht="13.5">
      <c r="A42" s="2"/>
      <c r="B42" s="2"/>
      <c r="C42" s="2"/>
      <c r="D42" s="2"/>
      <c r="E42" s="5"/>
      <c r="F42" s="5"/>
      <c r="G42" s="5"/>
      <c r="H42" s="17"/>
      <c r="I42" s="2"/>
    </row>
    <row r="43" spans="1:11" ht="13.5" hidden="1">
      <c r="A43" s="2"/>
      <c r="B43" s="2" t="s">
        <v>17</v>
      </c>
      <c r="C43" s="2"/>
      <c r="D43" s="2" t="s">
        <v>18</v>
      </c>
      <c r="E43" s="5" t="s">
        <v>21</v>
      </c>
      <c r="F43" s="5" t="s">
        <v>27</v>
      </c>
      <c r="G43" s="5"/>
      <c r="H43" s="5"/>
      <c r="I43" s="2"/>
    </row>
    <row r="44" spans="1:11" ht="13.5" hidden="1">
      <c r="A44" s="2"/>
      <c r="B44" s="2"/>
      <c r="C44" s="2"/>
      <c r="D44" s="2" t="s">
        <v>19</v>
      </c>
      <c r="E44" s="5" t="s">
        <v>20</v>
      </c>
      <c r="F44" s="5"/>
      <c r="G44" s="5"/>
      <c r="H44" s="5"/>
      <c r="I44" s="2"/>
    </row>
    <row r="45" spans="1:11" ht="13.5" hidden="1">
      <c r="A45" s="2"/>
      <c r="B45" s="2"/>
      <c r="C45" s="2"/>
      <c r="D45" s="2"/>
      <c r="E45" s="5"/>
      <c r="F45" s="5"/>
      <c r="G45" s="5"/>
      <c r="H45" s="5"/>
      <c r="I45" s="2"/>
    </row>
    <row r="46" spans="1:11" ht="13.5" hidden="1">
      <c r="A46" s="2"/>
      <c r="B46" s="2" t="s">
        <v>22</v>
      </c>
      <c r="C46" s="2"/>
      <c r="D46" s="2" t="s">
        <v>18</v>
      </c>
      <c r="E46" s="5" t="s">
        <v>20</v>
      </c>
      <c r="F46" s="5" t="s">
        <v>23</v>
      </c>
      <c r="G46" s="5"/>
      <c r="H46" s="5"/>
      <c r="I46" s="2"/>
    </row>
    <row r="47" spans="1:11" ht="13.5" hidden="1">
      <c r="A47" s="2"/>
      <c r="B47" s="2"/>
      <c r="C47" s="2"/>
      <c r="D47" s="2" t="s">
        <v>19</v>
      </c>
      <c r="E47" s="5" t="s">
        <v>21</v>
      </c>
      <c r="F47" s="5"/>
      <c r="G47" s="5"/>
      <c r="H47" s="5"/>
      <c r="I47" s="2"/>
    </row>
    <row r="48" spans="1:11" ht="13.5" hidden="1">
      <c r="A48" s="2"/>
      <c r="B48" s="2" t="s">
        <v>26</v>
      </c>
      <c r="C48" s="2"/>
      <c r="D48" s="2"/>
      <c r="E48" s="5"/>
      <c r="F48" s="5"/>
      <c r="G48" s="5"/>
      <c r="H48" s="5"/>
      <c r="I48" s="2"/>
    </row>
    <row r="49" spans="1:9" ht="13.5" hidden="1">
      <c r="A49" s="2"/>
      <c r="B49" s="2" t="s">
        <v>25</v>
      </c>
      <c r="C49" s="2"/>
      <c r="D49" s="2"/>
      <c r="E49" s="5"/>
      <c r="F49" s="5"/>
      <c r="G49" s="5"/>
      <c r="H49" s="5"/>
      <c r="I49" s="2"/>
    </row>
    <row r="50" spans="1:9" ht="13.5" hidden="1">
      <c r="A50" s="2"/>
      <c r="B50" s="2" t="s">
        <v>24</v>
      </c>
      <c r="C50" s="2"/>
      <c r="D50" s="2"/>
      <c r="E50" s="5"/>
      <c r="F50" s="5"/>
      <c r="G50" s="5"/>
      <c r="H50" s="5"/>
      <c r="I50" s="2"/>
    </row>
    <row r="51" spans="1:9" ht="13.5">
      <c r="A51" s="2"/>
      <c r="B51" s="3" t="s">
        <v>56</v>
      </c>
      <c r="C51" s="2"/>
      <c r="D51" s="2"/>
      <c r="E51" s="5"/>
      <c r="F51" s="5"/>
      <c r="G51" s="5"/>
      <c r="H51" s="18">
        <f>+H7-H13-H37</f>
        <v>-11783.496666666659</v>
      </c>
      <c r="I51" s="2"/>
    </row>
    <row r="52" spans="1:9" ht="13.5">
      <c r="A52" s="2"/>
      <c r="B52" s="2" t="s">
        <v>57</v>
      </c>
      <c r="C52" s="2"/>
      <c r="D52" s="2"/>
      <c r="E52" s="5"/>
      <c r="F52" s="5"/>
      <c r="G52" s="5"/>
      <c r="H52" s="17">
        <v>0</v>
      </c>
      <c r="I52" s="2"/>
    </row>
    <row r="53" spans="1:9" ht="14.25" thickBot="1">
      <c r="A53" s="2"/>
      <c r="B53" s="2"/>
      <c r="C53" s="3" t="s">
        <v>89</v>
      </c>
      <c r="D53" s="2"/>
      <c r="E53" s="5"/>
      <c r="F53" s="5"/>
      <c r="G53" s="5"/>
      <c r="H53" s="10">
        <f>+H51-H52</f>
        <v>-11783.496666666659</v>
      </c>
      <c r="I53" s="2"/>
    </row>
    <row r="54" spans="1:9" ht="14.25" thickTop="1">
      <c r="B54" s="2"/>
      <c r="C54" s="2"/>
      <c r="D54" s="2"/>
      <c r="E54" s="2"/>
      <c r="F54" s="2"/>
      <c r="H54" s="2"/>
    </row>
    <row r="55" spans="1:9" ht="12.75"/>
    <row r="56" spans="1:9" ht="13.5">
      <c r="H56" s="19"/>
    </row>
    <row r="57" spans="1:9" ht="13.5">
      <c r="H57" s="19"/>
    </row>
    <row r="58" spans="1:9" ht="13.5">
      <c r="H58" s="19"/>
    </row>
    <row r="59" spans="1:9" ht="12.75"/>
    <row r="60" spans="1:9" s="11" customFormat="1" ht="12.75">
      <c r="A60" s="42" t="s">
        <v>58</v>
      </c>
      <c r="B60" s="42"/>
      <c r="C60" s="42"/>
      <c r="D60" s="42"/>
      <c r="E60" s="42"/>
      <c r="F60" s="42"/>
      <c r="G60" s="42"/>
      <c r="H60" s="42"/>
      <c r="I60" s="42"/>
    </row>
    <row r="61" spans="1:9" s="2" customFormat="1" ht="13.5">
      <c r="A61" s="38" t="s">
        <v>63</v>
      </c>
      <c r="B61" s="38"/>
      <c r="C61" s="38"/>
      <c r="D61" s="38"/>
      <c r="E61" s="38"/>
      <c r="F61" s="38"/>
      <c r="G61" s="38"/>
      <c r="H61" s="38"/>
      <c r="I61" s="38"/>
    </row>
    <row r="62" spans="1:9" ht="12.75"/>
    <row r="63" spans="1:9" ht="12.75"/>
    <row r="64" spans="1:9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</sheetData>
  <mergeCells count="6">
    <mergeCell ref="A61:I61"/>
    <mergeCell ref="A1:H1"/>
    <mergeCell ref="A2:J2"/>
    <mergeCell ref="A3:H3"/>
    <mergeCell ref="A4:H4"/>
    <mergeCell ref="A60:I6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Z24"/>
  <sheetViews>
    <sheetView workbookViewId="0">
      <selection activeCell="E20" sqref="E20"/>
    </sheetView>
  </sheetViews>
  <sheetFormatPr baseColWidth="10" defaultColWidth="11.5703125" defaultRowHeight="12.75"/>
  <cols>
    <col min="1" max="2" width="11.5703125" style="16"/>
    <col min="3" max="3" width="15.28515625" style="16" customWidth="1"/>
    <col min="4" max="4" width="11.5703125" style="16"/>
    <col min="5" max="5" width="12.85546875" style="16" bestFit="1" customWidth="1"/>
    <col min="6" max="6" width="11.5703125" style="16"/>
    <col min="7" max="7" width="12.85546875" style="16" bestFit="1" customWidth="1"/>
    <col min="8" max="8" width="11.5703125" style="16"/>
    <col min="9" max="9" width="12.28515625" style="16" bestFit="1" customWidth="1"/>
    <col min="10" max="10" width="11.5703125" style="16"/>
    <col min="11" max="11" width="13.140625" style="16" customWidth="1"/>
    <col min="12" max="12" width="11.5703125" style="16"/>
    <col min="13" max="13" width="11.85546875" style="16" bestFit="1" customWidth="1"/>
    <col min="14" max="14" width="11.5703125" style="16"/>
    <col min="15" max="16" width="11.85546875" style="16" bestFit="1" customWidth="1"/>
    <col min="17" max="20" width="11.5703125" style="16"/>
    <col min="21" max="21" width="13.140625" style="16" customWidth="1"/>
    <col min="22" max="22" width="12" style="16" bestFit="1" customWidth="1"/>
    <col min="23" max="23" width="11.5703125" style="16"/>
    <col min="24" max="24" width="11.5703125" style="34"/>
    <col min="25" max="25" width="15.85546875" style="34" bestFit="1" customWidth="1"/>
    <col min="26" max="16384" width="11.5703125" style="16"/>
  </cols>
  <sheetData>
    <row r="2" spans="1:26">
      <c r="A2" s="22" t="s">
        <v>68</v>
      </c>
      <c r="B2" s="22" t="s">
        <v>69</v>
      </c>
      <c r="C2" s="22" t="s">
        <v>70</v>
      </c>
      <c r="D2" s="22" t="s">
        <v>71</v>
      </c>
      <c r="E2" s="23" t="s">
        <v>107</v>
      </c>
      <c r="F2" s="22"/>
      <c r="G2" s="23" t="s">
        <v>103</v>
      </c>
      <c r="H2" s="22"/>
      <c r="I2" s="23" t="s">
        <v>98</v>
      </c>
      <c r="J2" s="22"/>
      <c r="K2" s="23" t="s">
        <v>95</v>
      </c>
      <c r="L2" s="23" t="s">
        <v>91</v>
      </c>
      <c r="M2" s="23" t="s">
        <v>90</v>
      </c>
      <c r="N2" s="23" t="s">
        <v>91</v>
      </c>
      <c r="O2" s="23" t="s">
        <v>87</v>
      </c>
      <c r="P2" s="23" t="s">
        <v>84</v>
      </c>
      <c r="Q2" s="22" t="s">
        <v>79</v>
      </c>
      <c r="R2" s="22" t="s">
        <v>77</v>
      </c>
      <c r="S2" s="22" t="s">
        <v>78</v>
      </c>
      <c r="T2" s="22" t="s">
        <v>78</v>
      </c>
      <c r="U2" s="23" t="s">
        <v>88</v>
      </c>
      <c r="X2" s="34" t="s">
        <v>105</v>
      </c>
      <c r="Y2" s="34" t="s">
        <v>88</v>
      </c>
    </row>
    <row r="3" spans="1:26">
      <c r="A3" s="22" t="s">
        <v>72</v>
      </c>
      <c r="C3" s="20">
        <v>69724.899999999994</v>
      </c>
      <c r="D3" s="16">
        <v>10</v>
      </c>
      <c r="O3" s="24"/>
      <c r="P3" s="24"/>
      <c r="Q3" s="24"/>
      <c r="R3" s="24">
        <v>29.28</v>
      </c>
      <c r="S3" s="24">
        <v>2901.66</v>
      </c>
      <c r="T3" s="24">
        <f>+C3/D3</f>
        <v>6972.49</v>
      </c>
    </row>
    <row r="4" spans="1:26">
      <c r="A4" s="22" t="s">
        <v>73</v>
      </c>
      <c r="C4" s="20">
        <v>1461.85</v>
      </c>
      <c r="O4" s="24"/>
      <c r="P4" s="24"/>
      <c r="Q4" s="24"/>
      <c r="R4" s="24"/>
      <c r="S4" s="24"/>
      <c r="T4" s="24"/>
    </row>
    <row r="5" spans="1:26">
      <c r="A5" s="22" t="s">
        <v>74</v>
      </c>
      <c r="C5" s="20">
        <v>1998</v>
      </c>
      <c r="D5" s="16">
        <v>10</v>
      </c>
      <c r="E5" s="16">
        <f>+G5</f>
        <v>199.8</v>
      </c>
      <c r="G5" s="16">
        <f>+I5</f>
        <v>199.8</v>
      </c>
      <c r="I5" s="16">
        <f>+K5</f>
        <v>199.8</v>
      </c>
      <c r="K5" s="16">
        <f>+C5/D5</f>
        <v>199.8</v>
      </c>
      <c r="M5" s="24">
        <f>+C5/D5</f>
        <v>199.8</v>
      </c>
      <c r="N5" s="24"/>
      <c r="O5" s="24">
        <f>+C5/D5</f>
        <v>199.8</v>
      </c>
      <c r="P5" s="24">
        <f>+C5/D5</f>
        <v>199.8</v>
      </c>
      <c r="Q5" s="24">
        <f>+C5/D5</f>
        <v>199.8</v>
      </c>
      <c r="R5" s="24">
        <f>+C5/D5</f>
        <v>199.8</v>
      </c>
      <c r="S5" s="24"/>
      <c r="T5" s="24"/>
      <c r="U5" s="25">
        <f>+C5-O5-P5-Q5-R5-M5-K5-I5-G5-E5</f>
        <v>199.8000000000003</v>
      </c>
      <c r="V5" s="25">
        <f>+C5-SUM(G5:T5)-U5</f>
        <v>199.79999999999984</v>
      </c>
      <c r="X5" s="34">
        <f>SUM(E5:T5)</f>
        <v>1798.1999999999998</v>
      </c>
      <c r="Y5" s="35">
        <f>+C5-X5</f>
        <v>199.80000000000018</v>
      </c>
      <c r="Z5" s="27">
        <f>+U5-Y5</f>
        <v>0</v>
      </c>
    </row>
    <row r="6" spans="1:26">
      <c r="A6" s="22"/>
      <c r="C6" s="20">
        <v>2300.71</v>
      </c>
      <c r="D6" s="16">
        <v>10</v>
      </c>
      <c r="E6" s="26">
        <f>+G6</f>
        <v>230.07</v>
      </c>
      <c r="G6" s="16">
        <v>230.07</v>
      </c>
      <c r="I6" s="16">
        <v>230.07</v>
      </c>
      <c r="K6" s="26">
        <f t="shared" ref="K6:K16" si="0">+C6/D6</f>
        <v>230.071</v>
      </c>
      <c r="M6" s="24">
        <f>+C6/D6</f>
        <v>230.071</v>
      </c>
      <c r="N6" s="24"/>
      <c r="O6" s="24">
        <f>+C6/D6</f>
        <v>230.071</v>
      </c>
      <c r="P6" s="24">
        <f>+C6/D6</f>
        <v>230.071</v>
      </c>
      <c r="Q6" s="24"/>
      <c r="R6" s="24"/>
      <c r="S6" s="24"/>
      <c r="T6" s="24"/>
      <c r="U6" s="25">
        <f>+C6-O6-P6-Q6-R6-M6-K6-I6-G6-E6</f>
        <v>690.21600000000058</v>
      </c>
      <c r="V6" s="25">
        <f t="shared" ref="V6:V13" si="1">+C6-SUM(G6:T6)-U6</f>
        <v>230.06999999999948</v>
      </c>
      <c r="X6" s="34">
        <f t="shared" ref="X6:X13" si="2">SUM(E6:T6)</f>
        <v>1610.4939999999999</v>
      </c>
      <c r="Y6" s="35">
        <f t="shared" ref="Y6:Y13" si="3">+C6-X6</f>
        <v>690.21600000000012</v>
      </c>
      <c r="Z6" s="27">
        <f t="shared" ref="Z6:Z16" si="4">+U6-Y6</f>
        <v>0</v>
      </c>
    </row>
    <row r="7" spans="1:26">
      <c r="A7" s="22"/>
      <c r="C7" s="20">
        <v>2532.0700000000002</v>
      </c>
      <c r="D7" s="16">
        <v>10</v>
      </c>
      <c r="E7" s="16">
        <v>253.21</v>
      </c>
      <c r="G7" s="16">
        <v>253.21</v>
      </c>
      <c r="I7" s="16">
        <v>253.21</v>
      </c>
      <c r="K7" s="26">
        <f t="shared" si="0"/>
        <v>253.20700000000002</v>
      </c>
      <c r="M7" s="24">
        <f>+C7/D7</f>
        <v>253.20700000000002</v>
      </c>
      <c r="N7" s="24"/>
      <c r="O7" s="24">
        <f>+C7/D7</f>
        <v>253.20700000000002</v>
      </c>
      <c r="P7" s="24"/>
      <c r="Q7" s="24"/>
      <c r="R7" s="24"/>
      <c r="S7" s="24"/>
      <c r="T7" s="24"/>
      <c r="U7" s="25">
        <f t="shared" ref="U7:U13" si="5">+C7-O7-P7-Q7-R7-M7-K7-I7-G7-E7</f>
        <v>1012.819</v>
      </c>
      <c r="V7" s="25">
        <f t="shared" si="1"/>
        <v>253.21000000000004</v>
      </c>
      <c r="X7" s="34">
        <f t="shared" si="2"/>
        <v>1519.2510000000002</v>
      </c>
      <c r="Y7" s="35">
        <f t="shared" si="3"/>
        <v>1012.819</v>
      </c>
      <c r="Z7" s="27">
        <f t="shared" si="4"/>
        <v>0</v>
      </c>
    </row>
    <row r="8" spans="1:26">
      <c r="A8" s="22"/>
      <c r="C8" s="20">
        <v>932.15</v>
      </c>
      <c r="D8" s="16">
        <v>10</v>
      </c>
      <c r="E8" s="27">
        <v>93.21</v>
      </c>
      <c r="G8" s="16">
        <f>+C8/D8</f>
        <v>93.215000000000003</v>
      </c>
      <c r="I8" s="16">
        <f>+C8/D8</f>
        <v>93.215000000000003</v>
      </c>
      <c r="K8" s="26">
        <f>+L8/12</f>
        <v>7.7679166666666672</v>
      </c>
      <c r="L8" s="16">
        <f>+C8/D8</f>
        <v>93.215000000000003</v>
      </c>
      <c r="M8" s="24"/>
      <c r="N8" s="24"/>
      <c r="O8" s="24"/>
      <c r="P8" s="24"/>
      <c r="Q8" s="24"/>
      <c r="R8" s="24"/>
      <c r="S8" s="24"/>
      <c r="T8" s="24"/>
      <c r="U8" s="25">
        <f t="shared" si="5"/>
        <v>644.7420833333332</v>
      </c>
      <c r="V8" s="25">
        <f>+C8-SUM(G8:T8)-U8</f>
        <v>-4.9999999998817657E-3</v>
      </c>
      <c r="X8" s="34">
        <f t="shared" si="2"/>
        <v>380.6229166666667</v>
      </c>
      <c r="Y8" s="35">
        <f t="shared" si="3"/>
        <v>551.52708333333328</v>
      </c>
      <c r="Z8" s="27">
        <f>+U8-Y8</f>
        <v>93.214999999999918</v>
      </c>
    </row>
    <row r="9" spans="1:26">
      <c r="A9" s="22" t="s">
        <v>75</v>
      </c>
      <c r="C9" s="29">
        <v>1480</v>
      </c>
      <c r="D9" s="16">
        <v>3</v>
      </c>
      <c r="O9" s="24"/>
      <c r="P9" s="24"/>
      <c r="Q9" s="24"/>
      <c r="R9" s="24"/>
      <c r="S9" s="24"/>
      <c r="T9" s="24"/>
      <c r="U9" s="25">
        <f t="shared" si="5"/>
        <v>1480</v>
      </c>
      <c r="V9" s="25">
        <f t="shared" si="1"/>
        <v>0</v>
      </c>
      <c r="X9" s="34">
        <f t="shared" si="2"/>
        <v>0</v>
      </c>
      <c r="Y9" s="35">
        <f t="shared" si="3"/>
        <v>1480</v>
      </c>
      <c r="Z9" s="27">
        <f t="shared" si="4"/>
        <v>0</v>
      </c>
    </row>
    <row r="10" spans="1:26">
      <c r="A10" s="22"/>
      <c r="C10" s="29">
        <v>1775.94</v>
      </c>
      <c r="D10" s="16">
        <v>3</v>
      </c>
      <c r="E10" s="16">
        <v>0</v>
      </c>
      <c r="G10" s="16">
        <v>0</v>
      </c>
      <c r="I10" s="16">
        <f>+C10/D10</f>
        <v>591.98</v>
      </c>
      <c r="K10" s="26">
        <f t="shared" si="0"/>
        <v>591.98</v>
      </c>
      <c r="M10" s="24">
        <f>(N10/12)*1</f>
        <v>49.331666666666671</v>
      </c>
      <c r="N10" s="24">
        <f>+C10/D10</f>
        <v>591.98</v>
      </c>
      <c r="O10" s="24"/>
      <c r="P10" s="24"/>
      <c r="Q10" s="24"/>
      <c r="R10" s="24"/>
      <c r="S10" s="24"/>
      <c r="T10" s="24"/>
      <c r="U10" s="25">
        <f t="shared" si="5"/>
        <v>542.64833333333331</v>
      </c>
      <c r="V10" s="25">
        <f t="shared" si="1"/>
        <v>-591.98</v>
      </c>
      <c r="W10" s="16" t="s">
        <v>104</v>
      </c>
      <c r="X10" s="34">
        <f t="shared" si="2"/>
        <v>1825.2716666666668</v>
      </c>
      <c r="Y10" s="35">
        <f t="shared" si="3"/>
        <v>-49.331666666666706</v>
      </c>
      <c r="Z10" s="27">
        <f t="shared" si="4"/>
        <v>591.98</v>
      </c>
    </row>
    <row r="11" spans="1:26">
      <c r="A11" s="22"/>
      <c r="C11" s="20">
        <v>1517.27</v>
      </c>
      <c r="D11" s="16">
        <v>3</v>
      </c>
      <c r="E11" s="25">
        <v>0</v>
      </c>
      <c r="G11" s="25">
        <f>+C11-1053.66</f>
        <v>463.6099999999999</v>
      </c>
      <c r="I11" s="16">
        <f>+C11/D11</f>
        <v>505.75666666666666</v>
      </c>
      <c r="K11" s="26">
        <f>+L11/12</f>
        <v>42.146388888888886</v>
      </c>
      <c r="L11" s="16">
        <f>+C11/D11</f>
        <v>505.75666666666666</v>
      </c>
      <c r="M11" s="24"/>
      <c r="N11" s="24"/>
      <c r="O11" s="24"/>
      <c r="P11" s="24"/>
      <c r="Q11" s="24"/>
      <c r="R11" s="24"/>
      <c r="S11" s="24"/>
      <c r="T11" s="24"/>
      <c r="U11" s="25">
        <f t="shared" si="5"/>
        <v>505.75694444444457</v>
      </c>
      <c r="V11" s="25">
        <f t="shared" si="1"/>
        <v>-505.75666666666666</v>
      </c>
      <c r="X11" s="34">
        <f t="shared" si="2"/>
        <v>1517.2697222222221</v>
      </c>
      <c r="Y11" s="35">
        <f t="shared" si="3"/>
        <v>2.7777777791015978E-4</v>
      </c>
      <c r="Z11" s="27">
        <f t="shared" si="4"/>
        <v>505.75666666666666</v>
      </c>
    </row>
    <row r="12" spans="1:26">
      <c r="A12" s="22"/>
      <c r="C12" s="20">
        <v>3246.56</v>
      </c>
      <c r="D12" s="16">
        <v>3</v>
      </c>
      <c r="E12" s="27">
        <f>+C12/D12</f>
        <v>1082.1866666666667</v>
      </c>
      <c r="G12" s="16">
        <f t="shared" ref="G12:G16" si="6">+C12/D12</f>
        <v>1082.1866666666667</v>
      </c>
      <c r="I12" s="16">
        <f>+(C12/D12)</f>
        <v>1082.1866666666667</v>
      </c>
      <c r="J12" s="16" t="s">
        <v>102</v>
      </c>
      <c r="K12" s="26"/>
      <c r="M12" s="24"/>
      <c r="N12" s="24"/>
      <c r="O12" s="24"/>
      <c r="P12" s="24"/>
      <c r="Q12" s="24"/>
      <c r="R12" s="24"/>
      <c r="S12" s="24"/>
      <c r="T12" s="24"/>
      <c r="U12" s="25">
        <f t="shared" si="5"/>
        <v>0</v>
      </c>
      <c r="V12" s="25">
        <f t="shared" si="1"/>
        <v>1082.1866666666665</v>
      </c>
      <c r="X12" s="34">
        <f t="shared" si="2"/>
        <v>3246.5600000000004</v>
      </c>
      <c r="Y12" s="35">
        <f t="shared" si="3"/>
        <v>0</v>
      </c>
      <c r="Z12" s="27">
        <f t="shared" si="4"/>
        <v>0</v>
      </c>
    </row>
    <row r="13" spans="1:26">
      <c r="A13" s="22" t="s">
        <v>76</v>
      </c>
      <c r="C13" s="29">
        <v>9000</v>
      </c>
      <c r="D13" s="16">
        <v>5</v>
      </c>
      <c r="O13" s="24">
        <f>+B13/C13</f>
        <v>0</v>
      </c>
      <c r="P13" s="24">
        <f>+C13/D13</f>
        <v>1800</v>
      </c>
      <c r="Q13" s="24">
        <f>+C13/D13</f>
        <v>1800</v>
      </c>
      <c r="R13" s="24">
        <f>+C13/D13</f>
        <v>1800</v>
      </c>
      <c r="S13" s="24">
        <f>+C13/D13</f>
        <v>1800</v>
      </c>
      <c r="T13" s="24">
        <f>+C13/D13</f>
        <v>1800</v>
      </c>
      <c r="U13" s="25">
        <f t="shared" si="5"/>
        <v>3600</v>
      </c>
      <c r="V13" s="25">
        <f t="shared" si="1"/>
        <v>-3600</v>
      </c>
      <c r="X13" s="34">
        <f t="shared" si="2"/>
        <v>9000</v>
      </c>
      <c r="Y13" s="35">
        <f t="shared" si="3"/>
        <v>0</v>
      </c>
      <c r="Z13" s="27">
        <f t="shared" si="4"/>
        <v>3600</v>
      </c>
    </row>
    <row r="14" spans="1:26">
      <c r="A14" s="22"/>
      <c r="C14" s="29">
        <v>22285.98</v>
      </c>
      <c r="D14" s="16">
        <v>5</v>
      </c>
      <c r="E14" s="30"/>
      <c r="G14" s="30"/>
      <c r="H14" s="30"/>
      <c r="I14" s="30"/>
      <c r="J14" s="30"/>
      <c r="K14" s="31"/>
      <c r="L14" s="30"/>
      <c r="M14" s="32"/>
      <c r="N14" s="32"/>
      <c r="O14" s="32"/>
      <c r="P14" s="32"/>
      <c r="Q14" s="32"/>
      <c r="R14" s="32"/>
      <c r="S14" s="32"/>
      <c r="T14" s="32"/>
      <c r="U14" s="25">
        <v>0</v>
      </c>
      <c r="V14" s="25">
        <f t="shared" ref="V14:V16" si="7">+C14-SUM(G14:T14)-U14</f>
        <v>22285.98</v>
      </c>
      <c r="X14" s="34">
        <f t="shared" ref="X14:X16" si="8">SUM(G14:T14)</f>
        <v>0</v>
      </c>
      <c r="Y14" s="35">
        <f t="shared" ref="Y14:Y16" si="9">+C14-X14</f>
        <v>22285.98</v>
      </c>
      <c r="Z14" s="27">
        <f t="shared" si="4"/>
        <v>-22285.98</v>
      </c>
    </row>
    <row r="15" spans="1:26">
      <c r="A15" s="22"/>
      <c r="C15" s="20">
        <v>33026.79</v>
      </c>
      <c r="D15" s="16">
        <v>5</v>
      </c>
      <c r="E15" s="16">
        <v>6605.35</v>
      </c>
      <c r="G15" s="16">
        <f t="shared" si="6"/>
        <v>6605.3580000000002</v>
      </c>
      <c r="I15" s="16">
        <f>+(C15/D15)/12</f>
        <v>550.44650000000001</v>
      </c>
      <c r="J15" s="16" t="s">
        <v>101</v>
      </c>
      <c r="K15" s="26"/>
      <c r="M15" s="24"/>
      <c r="N15" s="24"/>
      <c r="O15" s="24"/>
      <c r="P15" s="24"/>
      <c r="Q15" s="24"/>
      <c r="R15" s="24"/>
      <c r="S15" s="24"/>
      <c r="T15" s="24"/>
      <c r="U15" s="25">
        <f t="shared" ref="U15:U16" si="10">+C15-O15-P15-Q15-R15-M15-K15-I15-G15</f>
        <v>25870.985500000003</v>
      </c>
      <c r="V15" s="25">
        <f t="shared" si="7"/>
        <v>0</v>
      </c>
      <c r="X15" s="34">
        <f t="shared" si="8"/>
        <v>7155.8045000000002</v>
      </c>
      <c r="Y15" s="35">
        <f t="shared" si="9"/>
        <v>25870.985500000003</v>
      </c>
      <c r="Z15" s="27">
        <f t="shared" si="4"/>
        <v>0</v>
      </c>
    </row>
    <row r="16" spans="1:26">
      <c r="A16" s="22" t="s">
        <v>80</v>
      </c>
      <c r="C16" s="20">
        <v>35000</v>
      </c>
      <c r="D16" s="16">
        <v>20</v>
      </c>
      <c r="E16" s="16">
        <v>1750</v>
      </c>
      <c r="G16" s="16">
        <f t="shared" si="6"/>
        <v>1750</v>
      </c>
      <c r="I16" s="16">
        <f>+C16/D16</f>
        <v>1750</v>
      </c>
      <c r="K16" s="26">
        <f t="shared" si="0"/>
        <v>1750</v>
      </c>
      <c r="M16" s="24">
        <f>+C16/D16</f>
        <v>1750</v>
      </c>
      <c r="O16" s="24">
        <f>+C16/D16</f>
        <v>1750</v>
      </c>
      <c r="P16" s="24">
        <f>+C16/D16</f>
        <v>1750</v>
      </c>
      <c r="Q16" s="24">
        <f>+C16/D16</f>
        <v>1750</v>
      </c>
      <c r="R16" s="24"/>
      <c r="S16" s="24"/>
      <c r="T16" s="24"/>
      <c r="U16" s="25">
        <f t="shared" si="10"/>
        <v>22750</v>
      </c>
      <c r="V16" s="25">
        <f t="shared" si="7"/>
        <v>0</v>
      </c>
      <c r="X16" s="34">
        <f t="shared" si="8"/>
        <v>12250</v>
      </c>
      <c r="Y16" s="35">
        <f t="shared" si="9"/>
        <v>22750</v>
      </c>
      <c r="Z16" s="27">
        <f t="shared" si="4"/>
        <v>0</v>
      </c>
    </row>
    <row r="17" spans="3:22">
      <c r="C17" s="24">
        <f>SUM(C3:C16)</f>
        <v>186282.22</v>
      </c>
      <c r="E17" s="24">
        <f>SUM(E3:E16)</f>
        <v>10213.826666666668</v>
      </c>
      <c r="G17" s="24">
        <f>SUM(G3:G16)</f>
        <v>10677.449666666667</v>
      </c>
      <c r="I17" s="24">
        <f>SUM(I3:I16)</f>
        <v>5256.6648333333333</v>
      </c>
      <c r="K17" s="24">
        <f>SUM(K3:K16)</f>
        <v>3074.9723055555555</v>
      </c>
      <c r="M17" s="24">
        <f>SUM(M3:M16)</f>
        <v>2482.4096666666665</v>
      </c>
      <c r="O17" s="24">
        <f>SUM(O3:O16)</f>
        <v>2433.078</v>
      </c>
      <c r="P17" s="24">
        <f>SUM(P3:P16)</f>
        <v>3979.8710000000001</v>
      </c>
      <c r="Q17" s="24">
        <f>SUM(Q3:Q16)</f>
        <v>3749.8</v>
      </c>
      <c r="R17" s="24">
        <f>SUM(R3:R13)</f>
        <v>2029.08</v>
      </c>
      <c r="S17" s="24">
        <f>SUM(S3:S13)</f>
        <v>4701.66</v>
      </c>
      <c r="T17" s="24">
        <f>SUM(T3:T13)</f>
        <v>8772.49</v>
      </c>
      <c r="U17" s="24">
        <f>SUM(U3:U16)</f>
        <v>57296.967861111116</v>
      </c>
      <c r="V17" s="25">
        <f t="shared" ref="V17" si="11">+C17-SUM(I17:T17)-U17</f>
        <v>92505.226333333339</v>
      </c>
    </row>
    <row r="18" spans="3:22">
      <c r="C18" s="28">
        <f>+C17-C13-C14-C9-C10</f>
        <v>151740.29999999999</v>
      </c>
      <c r="Q18" s="25"/>
      <c r="R18" s="25">
        <f>+R17-2029.08</f>
        <v>0</v>
      </c>
      <c r="S18" s="25">
        <f>5870.83-S17</f>
        <v>1169.17</v>
      </c>
    </row>
    <row r="19" spans="3:22">
      <c r="E19" s="25">
        <f>+G19</f>
        <v>92554.110972222217</v>
      </c>
      <c r="G19" s="25">
        <f>+I19</f>
        <v>92554.110972222217</v>
      </c>
      <c r="H19" s="16">
        <v>98497.04</v>
      </c>
      <c r="I19" s="25">
        <f>+K19</f>
        <v>92554.110972222217</v>
      </c>
      <c r="J19" s="23" t="s">
        <v>92</v>
      </c>
      <c r="K19" s="25">
        <f>+M20+K17</f>
        <v>92554.110972222217</v>
      </c>
      <c r="L19" s="23" t="s">
        <v>92</v>
      </c>
      <c r="M19" s="25">
        <f>+O20</f>
        <v>86996.728999999992</v>
      </c>
      <c r="N19" s="23" t="s">
        <v>92</v>
      </c>
      <c r="O19" s="16">
        <v>80583.78</v>
      </c>
      <c r="Q19" s="23"/>
    </row>
    <row r="20" spans="3:22">
      <c r="E20" s="27">
        <f>+E17+G20</f>
        <v>119388.31633333332</v>
      </c>
      <c r="G20" s="27">
        <f>+G17+H19</f>
        <v>109174.48966666666</v>
      </c>
      <c r="I20" s="27">
        <f>+I17+I19</f>
        <v>97810.775805555546</v>
      </c>
      <c r="K20" s="25"/>
      <c r="M20" s="25">
        <f>+M17+M19</f>
        <v>89479.138666666666</v>
      </c>
      <c r="O20" s="25">
        <f>+O17+O19+P20</f>
        <v>86996.728999999992</v>
      </c>
      <c r="P20" s="25">
        <f>+P17+P19</f>
        <v>3979.8710000000001</v>
      </c>
    </row>
    <row r="21" spans="3:22">
      <c r="M21" s="25">
        <f>+C17-M20</f>
        <v>96803.081333333335</v>
      </c>
    </row>
    <row r="22" spans="3:22">
      <c r="E22" s="27">
        <f>+A18-E20</f>
        <v>-119388.31633333332</v>
      </c>
      <c r="G22" s="27">
        <f>+C18-G20</f>
        <v>42565.810333333327</v>
      </c>
      <c r="I22" s="27">
        <f>+C17-I20</f>
        <v>88471.444194444455</v>
      </c>
      <c r="M22" s="25">
        <f>+M21-U17</f>
        <v>39506.11347222222</v>
      </c>
      <c r="O22" s="25">
        <f>+C17-O20</f>
        <v>99285.491000000009</v>
      </c>
    </row>
    <row r="23" spans="3:22">
      <c r="E23" s="27">
        <f>+E22-S17</f>
        <v>-124089.97633333332</v>
      </c>
      <c r="G23" s="27">
        <f>+G22-U17</f>
        <v>-14731.157527777788</v>
      </c>
      <c r="O23" s="25">
        <f>+O22-U17</f>
        <v>41988.523138888893</v>
      </c>
    </row>
    <row r="24" spans="3:22">
      <c r="E24" s="27" t="e">
        <f>+E23-A4</f>
        <v>#VALUE!</v>
      </c>
      <c r="G24" s="27">
        <f>+G23-C4</f>
        <v>-16193.007527777789</v>
      </c>
    </row>
  </sheetData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Balances General 2021</vt:lpstr>
      <vt:lpstr>Balance Resultados 2021</vt:lpstr>
      <vt:lpstr>ACTIVO FIJO</vt:lpstr>
    </vt:vector>
  </TitlesOfParts>
  <Company>TRABAJO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PACURUCU</dc:creator>
  <cp:lastModifiedBy>Maggica FM</cp:lastModifiedBy>
  <cp:lastPrinted>2022-02-07T13:07:20Z</cp:lastPrinted>
  <dcterms:created xsi:type="dcterms:W3CDTF">2008-01-21T20:27:44Z</dcterms:created>
  <dcterms:modified xsi:type="dcterms:W3CDTF">2022-02-07T13:07:35Z</dcterms:modified>
</cp:coreProperties>
</file>